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PLAN&amp;PROJETOS\OBRAS_PÚBLICAS\2022\2022_ASFALTO_MP20_SÃODOMINGOS\ASFALTO\REVFINAL\"/>
    </mc:Choice>
  </mc:AlternateContent>
  <bookViews>
    <workbookView xWindow="0" yWindow="0" windowWidth="20490" windowHeight="7755"/>
  </bookViews>
  <sheets>
    <sheet name="Planilha1" sheetId="1" r:id="rId1"/>
  </sheets>
  <definedNames>
    <definedName name="_xlnm.Print_Area" localSheetId="0">Planilha1!$A$1:$Y$34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7" i="1" l="1"/>
  <c r="Y26" i="1"/>
  <c r="M27" i="1"/>
  <c r="M26" i="1"/>
  <c r="Q26" i="1"/>
  <c r="U27" i="1"/>
  <c r="Q27" i="1"/>
  <c r="W26" i="1" l="1"/>
  <c r="W17" i="1" l="1"/>
  <c r="W16" i="1"/>
  <c r="W15" i="1"/>
  <c r="W14" i="1"/>
  <c r="W13" i="1"/>
  <c r="W12" i="1"/>
  <c r="W11" i="1"/>
  <c r="U17" i="1"/>
  <c r="U16" i="1"/>
  <c r="U15" i="1"/>
  <c r="U14" i="1"/>
  <c r="U13" i="1"/>
  <c r="U12" i="1"/>
  <c r="U11" i="1"/>
  <c r="U19" i="1" s="1"/>
  <c r="S17" i="1"/>
  <c r="S16" i="1"/>
  <c r="S15" i="1"/>
  <c r="S14" i="1"/>
  <c r="S13" i="1"/>
  <c r="S12" i="1"/>
  <c r="Q17" i="1"/>
  <c r="Q16" i="1"/>
  <c r="Q15" i="1"/>
  <c r="Q14" i="1"/>
  <c r="Q13" i="1"/>
  <c r="Q12" i="1"/>
  <c r="O16" i="1"/>
  <c r="O15" i="1"/>
  <c r="O14" i="1"/>
  <c r="O13" i="1"/>
  <c r="O12" i="1"/>
  <c r="M15" i="1"/>
  <c r="M14" i="1"/>
  <c r="M13" i="1"/>
  <c r="M12" i="1"/>
  <c r="W19" i="1" l="1"/>
  <c r="O17" i="1"/>
  <c r="M17" i="1"/>
  <c r="K17" i="1"/>
  <c r="M16" i="1"/>
  <c r="K16" i="1"/>
  <c r="K15" i="1"/>
  <c r="K14" i="1"/>
  <c r="K13" i="1"/>
  <c r="K12" i="1"/>
  <c r="S11" i="1"/>
  <c r="S19" i="1" s="1"/>
  <c r="Q11" i="1"/>
  <c r="Q19" i="1" s="1"/>
  <c r="O11" i="1"/>
  <c r="O19" i="1" s="1"/>
  <c r="M11" i="1"/>
  <c r="K11" i="1"/>
  <c r="I14" i="1" l="1"/>
  <c r="G14" i="1"/>
  <c r="Y14" i="1" s="1"/>
  <c r="D14" i="1"/>
  <c r="X14" i="1" s="1"/>
  <c r="I13" i="1"/>
  <c r="G13" i="1"/>
  <c r="Y13" i="1" s="1"/>
  <c r="D13" i="1"/>
  <c r="X13" i="1" s="1"/>
  <c r="I12" i="1"/>
  <c r="G12" i="1"/>
  <c r="D12" i="1"/>
  <c r="X12" i="1" s="1"/>
  <c r="T24" i="1"/>
  <c r="R24" i="1"/>
  <c r="P24" i="1"/>
  <c r="N24" i="1"/>
  <c r="V24" i="1"/>
  <c r="I17" i="1"/>
  <c r="I16" i="1"/>
  <c r="I15" i="1"/>
  <c r="I11" i="1"/>
  <c r="Y12" i="1" l="1"/>
  <c r="AB11" i="1"/>
  <c r="AB16" i="1"/>
  <c r="AC14" i="1" s="1"/>
  <c r="AC9" i="1" l="1"/>
  <c r="AC8" i="1"/>
  <c r="AC13" i="1"/>
  <c r="AC16" i="1" s="1"/>
  <c r="D16" i="1" l="1"/>
  <c r="X16" i="1" s="1"/>
  <c r="D17" i="1"/>
  <c r="X17" i="1" s="1"/>
  <c r="D15" i="1"/>
  <c r="X15" i="1" s="1"/>
  <c r="L24" i="1" l="1"/>
  <c r="J24" i="1"/>
  <c r="H24" i="1"/>
  <c r="M19" i="1" l="1"/>
  <c r="I19" i="1"/>
  <c r="K19" i="1"/>
  <c r="Y19" i="1" l="1"/>
  <c r="M25" i="1"/>
  <c r="E27" i="1"/>
  <c r="Y2" i="1" l="1"/>
  <c r="F24" i="1"/>
  <c r="D24" i="1"/>
  <c r="G17" i="1"/>
  <c r="Y17" i="1" s="1"/>
  <c r="G16" i="1"/>
  <c r="Y16" i="1" s="1"/>
  <c r="G15" i="1"/>
  <c r="Y15" i="1" s="1"/>
  <c r="G11" i="1"/>
  <c r="Y11" i="1" s="1"/>
  <c r="G19" i="1" l="1"/>
  <c r="C19" i="1" l="1"/>
  <c r="T19" i="1" l="1"/>
  <c r="V19" i="1"/>
  <c r="R19" i="1"/>
  <c r="N19" i="1"/>
  <c r="P19" i="1"/>
  <c r="L19" i="1"/>
  <c r="U25" i="1"/>
  <c r="W25" i="1"/>
  <c r="O25" i="1"/>
  <c r="Q25" i="1"/>
  <c r="S25" i="1"/>
  <c r="I25" i="1"/>
  <c r="K25" i="1"/>
  <c r="H19" i="1"/>
  <c r="J19" i="1"/>
  <c r="G25" i="1"/>
  <c r="F19" i="1"/>
  <c r="Y25" i="1" l="1"/>
  <c r="U26" i="1"/>
  <c r="S26" i="1"/>
  <c r="S27" i="1" s="1"/>
  <c r="O26" i="1"/>
  <c r="O27" i="1"/>
  <c r="W27" i="1"/>
  <c r="I26" i="1"/>
  <c r="I27" i="1" s="1"/>
  <c r="K26" i="1"/>
  <c r="K27" i="1" s="1"/>
  <c r="G26" i="1"/>
  <c r="G27" i="1" l="1"/>
  <c r="AC11" i="1" l="1"/>
  <c r="E19" i="1" l="1"/>
  <c r="D19" i="1" s="1"/>
  <c r="X19" i="1" s="1"/>
</calcChain>
</file>

<file path=xl/sharedStrings.xml><?xml version="1.0" encoding="utf-8"?>
<sst xmlns="http://schemas.openxmlformats.org/spreadsheetml/2006/main" count="69" uniqueCount="40">
  <si>
    <t>CRONOGRAMA FISICO ( % )</t>
  </si>
  <si>
    <t>GRUPO DE SERVIÇO</t>
  </si>
  <si>
    <t>PARTICIPAÇÃO</t>
  </si>
  <si>
    <t>Acumulado</t>
  </si>
  <si>
    <t>CRONOGRAMA FINANCEIRO ( R$ )</t>
  </si>
  <si>
    <t xml:space="preserve">Sub-total </t>
  </si>
  <si>
    <t xml:space="preserve"> CRONOGRAMA FISICO-FINANCEIRO</t>
  </si>
  <si>
    <t>%</t>
  </si>
  <si>
    <t>R$</t>
  </si>
  <si>
    <t>Valor do item</t>
  </si>
  <si>
    <t>Item</t>
  </si>
  <si>
    <t xml:space="preserve">Estado </t>
  </si>
  <si>
    <t xml:space="preserve">Municipio </t>
  </si>
  <si>
    <t>PROPORÇÕES INICIAIS</t>
  </si>
  <si>
    <t>30 Dias</t>
  </si>
  <si>
    <t>60 Dias</t>
  </si>
  <si>
    <t>90 Dias</t>
  </si>
  <si>
    <t>Licitação e Contratação</t>
  </si>
  <si>
    <t>Data:</t>
  </si>
  <si>
    <t>Favor não imprimir este quadro</t>
  </si>
  <si>
    <t>120 Dias</t>
  </si>
  <si>
    <r>
      <t xml:space="preserve">ADITIVO </t>
    </r>
    <r>
      <rPr>
        <sz val="11"/>
        <color rgb="FFFF0000"/>
        <rFont val="Calibri"/>
        <family val="2"/>
        <scheme val="minor"/>
      </rPr>
      <t>(Caso tenha sido feito algum aditivo de valor)</t>
    </r>
  </si>
  <si>
    <t>xxx</t>
  </si>
  <si>
    <t>Realizado até xx/xx/xxxxx</t>
  </si>
  <si>
    <t>xx/xx/xxxx - xx/xx/xxxx</t>
  </si>
  <si>
    <t>150 Dias</t>
  </si>
  <si>
    <t>180 Dias</t>
  </si>
  <si>
    <t>210 Dias</t>
  </si>
  <si>
    <t>240 Dias</t>
  </si>
  <si>
    <t>Terraplenagem</t>
  </si>
  <si>
    <t>Pavimentação</t>
  </si>
  <si>
    <t>Ligantes Betuminosos</t>
  </si>
  <si>
    <t>Drenagem e Obras Arte Correntes</t>
  </si>
  <si>
    <t>Serviços Complementares</t>
  </si>
  <si>
    <t>Sinalização</t>
  </si>
  <si>
    <t>MUNICIPIO: Mariópolis - Paraná</t>
  </si>
  <si>
    <t>OBJETO: Pavimentação asfáltica em CBUQ na estrada denominada MP020 -  Convênio XXX/XXX-SEIL</t>
  </si>
  <si>
    <t>LOCAL DA OBRA:  Estrada MP020 Convênio XXX/XXXX-SEIL</t>
  </si>
  <si>
    <t>CREA nº 134618/D</t>
  </si>
  <si>
    <t>Eng. Civil Bruno Gustavo Klein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</si>
</sst>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\-#,##0.00\ "/>
    <numFmt numFmtId="165" formatCode="0.0000%"/>
    <numFmt numFmtId="166" formatCode="_-* #,##0.000_-;\-* #,##0.000_-;_-* &quot;-&quot;??_-;_-@_-"/>
    <numFmt numFmtId="167" formatCode="#,##0.00000"/>
    <numFmt numFmtId="168" formatCode="_-* #,##0.0000_-;\-* #,##0.0000_-;_-* &quot;-&quot;??_-;_-@_-"/>
    <numFmt numFmtId="169" formatCode="0.0000"/>
    <numFmt numFmtId="170" formatCode="_-* #,##0.00000_-;\-* #,##0.00000_-;_-* &quot;-&quot;??_-;_-@_-"/>
    <numFmt numFmtId="171" formatCode="0.000%"/>
    <numFmt numFmtId="172" formatCode="0.00000%"/>
    <numFmt numFmtId="173" formatCode="_-* #,##0.000_-;\-* #,##0.000_-;_-* &quot;-&quot;?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/>
    <xf numFmtId="43" fontId="0" fillId="0" borderId="0" xfId="3" applyFont="1"/>
    <xf numFmtId="164" fontId="0" fillId="0" borderId="0" xfId="0" applyNumberFormat="1"/>
    <xf numFmtId="43" fontId="0" fillId="0" borderId="0" xfId="3" applyFont="1" applyBorder="1"/>
    <xf numFmtId="43" fontId="0" fillId="0" borderId="0" xfId="0" applyNumberFormat="1"/>
    <xf numFmtId="0" fontId="5" fillId="0" borderId="0" xfId="0" applyFont="1"/>
    <xf numFmtId="43" fontId="5" fillId="0" borderId="0" xfId="3" applyFont="1"/>
    <xf numFmtId="10" fontId="5" fillId="0" borderId="0" xfId="4" applyNumberFormat="1" applyFont="1"/>
    <xf numFmtId="4" fontId="0" fillId="0" borderId="0" xfId="0" applyNumberFormat="1"/>
    <xf numFmtId="166" fontId="0" fillId="0" borderId="0" xfId="3" applyNumberFormat="1" applyFont="1"/>
    <xf numFmtId="167" fontId="0" fillId="0" borderId="0" xfId="0" applyNumberFormat="1"/>
    <xf numFmtId="165" fontId="5" fillId="0" borderId="0" xfId="4" applyNumberFormat="1" applyFont="1"/>
    <xf numFmtId="43" fontId="5" fillId="0" borderId="0" xfId="0" applyNumberFormat="1" applyFont="1"/>
    <xf numFmtId="43" fontId="6" fillId="0" borderId="0" xfId="3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0" fontId="6" fillId="0" borderId="0" xfId="4" applyNumberFormat="1" applyFont="1" applyFill="1" applyBorder="1" applyAlignment="1">
      <alignment horizontal="left"/>
    </xf>
    <xf numFmtId="0" fontId="6" fillId="0" borderId="0" xfId="0" applyFont="1"/>
    <xf numFmtId="14" fontId="5" fillId="0" borderId="0" xfId="0" applyNumberFormat="1" applyFont="1"/>
    <xf numFmtId="14" fontId="5" fillId="0" borderId="0" xfId="4" applyNumberFormat="1" applyFont="1"/>
    <xf numFmtId="0" fontId="0" fillId="0" borderId="0" xfId="0" applyBorder="1"/>
    <xf numFmtId="43" fontId="0" fillId="0" borderId="0" xfId="0" applyNumberFormat="1" applyBorder="1"/>
    <xf numFmtId="168" fontId="0" fillId="0" borderId="0" xfId="3" applyNumberFormat="1" applyFont="1"/>
    <xf numFmtId="169" fontId="0" fillId="0" borderId="0" xfId="0" applyNumberFormat="1"/>
    <xf numFmtId="169" fontId="0" fillId="0" borderId="0" xfId="0" applyNumberFormat="1" applyAlignment="1">
      <alignment horizontal="left" indent="1"/>
    </xf>
    <xf numFmtId="0" fontId="0" fillId="0" borderId="0" xfId="0" applyFill="1" applyAlignment="1"/>
    <xf numFmtId="0" fontId="0" fillId="0" borderId="0" xfId="0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164" fontId="0" fillId="0" borderId="9" xfId="3" applyNumberFormat="1" applyFont="1" applyFill="1" applyBorder="1" applyAlignment="1">
      <alignment horizontal="right"/>
    </xf>
    <xf numFmtId="43" fontId="0" fillId="0" borderId="0" xfId="3" applyFont="1" applyFill="1"/>
    <xf numFmtId="0" fontId="1" fillId="0" borderId="2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left"/>
    </xf>
    <xf numFmtId="164" fontId="0" fillId="0" borderId="7" xfId="3" applyNumberFormat="1" applyFont="1" applyFill="1" applyBorder="1" applyAlignment="1">
      <alignment horizontal="right"/>
    </xf>
    <xf numFmtId="170" fontId="0" fillId="0" borderId="0" xfId="0" applyNumberFormat="1"/>
    <xf numFmtId="172" fontId="0" fillId="0" borderId="0" xfId="4" applyNumberFormat="1" applyFont="1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5" xfId="0" applyFont="1" applyFill="1" applyBorder="1"/>
    <xf numFmtId="0" fontId="0" fillId="0" borderId="11" xfId="0" applyFont="1" applyFill="1" applyBorder="1"/>
    <xf numFmtId="39" fontId="0" fillId="0" borderId="6" xfId="0" applyNumberFormat="1" applyFont="1" applyFill="1" applyBorder="1" applyAlignment="1">
      <alignment vertical="center"/>
    </xf>
    <xf numFmtId="10" fontId="0" fillId="0" borderId="6" xfId="4" applyNumberFormat="1" applyFont="1" applyFill="1" applyBorder="1"/>
    <xf numFmtId="39" fontId="0" fillId="0" borderId="7" xfId="0" applyNumberFormat="1" applyFont="1" applyFill="1" applyBorder="1" applyAlignment="1">
      <alignment vertical="center"/>
    </xf>
    <xf numFmtId="0" fontId="0" fillId="0" borderId="0" xfId="0" applyFont="1" applyFill="1"/>
    <xf numFmtId="10" fontId="0" fillId="0" borderId="0" xfId="0" applyNumberFormat="1" applyFont="1" applyFill="1"/>
    <xf numFmtId="0" fontId="0" fillId="0" borderId="4" xfId="0" applyFont="1" applyFill="1" applyBorder="1" applyAlignment="1">
      <alignment horizontal="center" vertical="center"/>
    </xf>
    <xf numFmtId="0" fontId="0" fillId="0" borderId="10" xfId="0" applyFont="1" applyFill="1" applyBorder="1"/>
    <xf numFmtId="0" fontId="0" fillId="0" borderId="22" xfId="0" applyFont="1" applyFill="1" applyBorder="1"/>
    <xf numFmtId="4" fontId="0" fillId="0" borderId="22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horizontal="center" vertical="center"/>
    </xf>
    <xf numFmtId="0" fontId="0" fillId="0" borderId="21" xfId="0" applyFont="1" applyFill="1" applyBorder="1"/>
    <xf numFmtId="4" fontId="0" fillId="0" borderId="21" xfId="0" applyNumberFormat="1" applyFont="1" applyFill="1" applyBorder="1" applyAlignment="1">
      <alignment horizontal="right"/>
    </xf>
    <xf numFmtId="4" fontId="0" fillId="0" borderId="6" xfId="0" applyNumberFormat="1" applyFont="1" applyFill="1" applyBorder="1" applyAlignment="1">
      <alignment horizontal="right"/>
    </xf>
    <xf numFmtId="164" fontId="5" fillId="0" borderId="1" xfId="3" applyNumberFormat="1" applyFont="1" applyFill="1" applyBorder="1"/>
    <xf numFmtId="4" fontId="5" fillId="0" borderId="1" xfId="0" applyNumberFormat="1" applyFont="1" applyFill="1" applyBorder="1" applyAlignment="1">
      <alignment horizontal="right"/>
    </xf>
    <xf numFmtId="4" fontId="5" fillId="0" borderId="6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1" xfId="0" applyFont="1" applyBorder="1" applyProtection="1">
      <protection locked="0"/>
    </xf>
    <xf numFmtId="43" fontId="5" fillId="0" borderId="1" xfId="0" applyNumberFormat="1" applyFont="1" applyBorder="1" applyProtection="1">
      <protection locked="0"/>
    </xf>
    <xf numFmtId="165" fontId="5" fillId="0" borderId="1" xfId="4" applyNumberFormat="1" applyFont="1" applyBorder="1" applyProtection="1">
      <protection locked="0"/>
    </xf>
    <xf numFmtId="43" fontId="5" fillId="0" borderId="1" xfId="7" applyFont="1" applyBorder="1" applyProtection="1">
      <protection locked="0"/>
    </xf>
    <xf numFmtId="171" fontId="5" fillId="0" borderId="1" xfId="4" applyNumberFormat="1" applyFont="1" applyBorder="1" applyProtection="1">
      <protection locked="0"/>
    </xf>
    <xf numFmtId="39" fontId="5" fillId="0" borderId="1" xfId="0" applyNumberFormat="1" applyFont="1" applyBorder="1" applyAlignment="1" applyProtection="1">
      <alignment vertical="center"/>
      <protection locked="0"/>
    </xf>
    <xf numFmtId="171" fontId="5" fillId="0" borderId="1" xfId="4" applyNumberFormat="1" applyFont="1" applyBorder="1" applyAlignment="1" applyProtection="1">
      <alignment vertical="center"/>
      <protection locked="0"/>
    </xf>
    <xf numFmtId="0" fontId="0" fillId="0" borderId="0" xfId="0" applyFill="1" applyAlignment="1">
      <alignment horizontal="right" vertical="center"/>
    </xf>
    <xf numFmtId="14" fontId="0" fillId="0" borderId="0" xfId="0" applyNumberFormat="1" applyFill="1" applyAlignment="1">
      <alignment horizontal="left" vertical="center"/>
    </xf>
    <xf numFmtId="0" fontId="0" fillId="0" borderId="0" xfId="0" applyBorder="1" applyAlignment="1"/>
    <xf numFmtId="0" fontId="7" fillId="0" borderId="0" xfId="0" applyFont="1" applyBorder="1" applyAlignment="1"/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64" fontId="7" fillId="0" borderId="0" xfId="3" applyNumberFormat="1" applyFont="1" applyFill="1" applyBorder="1"/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0" fontId="0" fillId="0" borderId="6" xfId="4" applyNumberFormat="1" applyFont="1" applyFill="1" applyBorder="1" applyAlignment="1">
      <alignment horizontal="right"/>
    </xf>
    <xf numFmtId="0" fontId="10" fillId="0" borderId="0" xfId="0" applyFont="1" applyFill="1" applyBorder="1" applyAlignment="1" applyProtection="1">
      <alignment vertical="center"/>
      <protection locked="0"/>
    </xf>
    <xf numFmtId="10" fontId="5" fillId="0" borderId="1" xfId="4" applyNumberFormat="1" applyFont="1" applyBorder="1" applyAlignment="1" applyProtection="1">
      <alignment vertical="center"/>
      <protection locked="0"/>
    </xf>
    <xf numFmtId="10" fontId="5" fillId="0" borderId="1" xfId="4" applyNumberFormat="1" applyFont="1" applyBorder="1" applyProtection="1">
      <protection locked="0"/>
    </xf>
    <xf numFmtId="0" fontId="0" fillId="0" borderId="0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39" fontId="5" fillId="0" borderId="1" xfId="3" applyNumberFormat="1" applyFont="1" applyFill="1" applyBorder="1"/>
    <xf numFmtId="10" fontId="5" fillId="0" borderId="1" xfId="4" applyNumberFormat="1" applyFont="1" applyFill="1" applyBorder="1"/>
    <xf numFmtId="10" fontId="5" fillId="0" borderId="1" xfId="4" applyNumberFormat="1" applyFont="1" applyFill="1" applyBorder="1" applyAlignment="1">
      <alignment horizontal="right"/>
    </xf>
    <xf numFmtId="164" fontId="5" fillId="0" borderId="20" xfId="3" applyNumberFormat="1" applyFont="1" applyFill="1" applyBorder="1" applyAlignment="1">
      <alignment horizontal="right"/>
    </xf>
    <xf numFmtId="173" fontId="0" fillId="0" borderId="0" xfId="0" applyNumberFormat="1"/>
    <xf numFmtId="0" fontId="0" fillId="0" borderId="0" xfId="0" applyFill="1" applyAlignment="1">
      <alignment horizontal="left"/>
    </xf>
    <xf numFmtId="0" fontId="3" fillId="2" borderId="0" xfId="0" applyFont="1" applyFill="1" applyAlignment="1">
      <alignment horizontal="center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" fontId="1" fillId="0" borderId="2" xfId="0" applyNumberFormat="1" applyFont="1" applyFill="1" applyBorder="1" applyAlignment="1">
      <alignment horizontal="center" vertical="center"/>
    </xf>
    <xf numFmtId="17" fontId="1" fillId="0" borderId="20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14" fontId="8" fillId="0" borderId="2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1">
    <cellStyle name="Moeda 2" xfId="2"/>
    <cellStyle name="Moeda 2 2" xfId="9"/>
    <cellStyle name="Moeda 2 3" xfId="6"/>
    <cellStyle name="Normal" xfId="0" builtinId="0"/>
    <cellStyle name="Porcentagem" xfId="4" builtinId="5"/>
    <cellStyle name="Vírgula" xfId="3" builtinId="3"/>
    <cellStyle name="Vírgula 2" xfId="1"/>
    <cellStyle name="Vírgula 2 2" xfId="8"/>
    <cellStyle name="Vírgula 2 3" xfId="5"/>
    <cellStyle name="Vírgula 3" xfId="10"/>
    <cellStyle name="Vírgula 4" xfId="7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6"/>
  <sheetViews>
    <sheetView tabSelected="1" view="pageBreakPreview" topLeftCell="C7" zoomScale="80" zoomScaleNormal="80" zoomScaleSheetLayoutView="80" workbookViewId="0">
      <selection activeCell="S30" sqref="S30"/>
    </sheetView>
  </sheetViews>
  <sheetFormatPr defaultRowHeight="15" x14ac:dyDescent="0.25"/>
  <cols>
    <col min="1" max="1" width="7.7109375" style="1" customWidth="1"/>
    <col min="2" max="2" width="36.85546875" bestFit="1" customWidth="1"/>
    <col min="3" max="3" width="15" style="1" customWidth="1"/>
    <col min="4" max="4" width="11.140625" style="1" hidden="1" customWidth="1"/>
    <col min="5" max="5" width="13.28515625" style="1" hidden="1" customWidth="1"/>
    <col min="6" max="6" width="11.5703125" style="1" hidden="1" customWidth="1"/>
    <col min="7" max="7" width="12.28515625" style="1" hidden="1" customWidth="1"/>
    <col min="8" max="8" width="8.7109375" style="1" customWidth="1"/>
    <col min="9" max="9" width="11.85546875" style="1" customWidth="1"/>
    <col min="10" max="10" width="8.7109375" style="1" customWidth="1"/>
    <col min="11" max="11" width="13.28515625" style="1" customWidth="1"/>
    <col min="12" max="12" width="8.7109375" style="1" customWidth="1"/>
    <col min="13" max="13" width="13.28515625" style="1" customWidth="1"/>
    <col min="14" max="14" width="8.7109375" style="1" customWidth="1"/>
    <col min="15" max="15" width="13.28515625" style="1" customWidth="1"/>
    <col min="16" max="16" width="8.7109375" style="1" customWidth="1"/>
    <col min="17" max="17" width="13.28515625" style="1" customWidth="1"/>
    <col min="18" max="18" width="8.7109375" style="1" customWidth="1"/>
    <col min="19" max="19" width="13.28515625" style="1" customWidth="1"/>
    <col min="20" max="20" width="8.7109375" style="1" customWidth="1"/>
    <col min="21" max="21" width="13.28515625" style="1" customWidth="1"/>
    <col min="22" max="22" width="8.7109375" style="1" customWidth="1"/>
    <col min="23" max="23" width="13.28515625" style="1" customWidth="1"/>
    <col min="24" max="24" width="10.42578125" style="1" customWidth="1"/>
    <col min="25" max="25" width="15.85546875" bestFit="1" customWidth="1"/>
    <col min="26" max="26" width="15.28515625" customWidth="1"/>
    <col min="27" max="27" width="10.5703125" customWidth="1"/>
    <col min="28" max="28" width="13.85546875" customWidth="1"/>
    <col min="29" max="29" width="12" bestFit="1" customWidth="1"/>
  </cols>
  <sheetData>
    <row r="1" spans="1:29" ht="21" x14ac:dyDescent="0.35">
      <c r="A1" s="91" t="s">
        <v>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1:29" x14ac:dyDescent="0.25">
      <c r="A2" s="90" t="s">
        <v>35</v>
      </c>
      <c r="B2" s="9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9" t="s">
        <v>18</v>
      </c>
      <c r="Y2" s="70">
        <f ca="1">TODAY()</f>
        <v>44748</v>
      </c>
    </row>
    <row r="3" spans="1:29" x14ac:dyDescent="0.25">
      <c r="A3" s="25" t="s">
        <v>37</v>
      </c>
      <c r="B3" s="25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AA3" s="106" t="s">
        <v>19</v>
      </c>
      <c r="AB3" s="107"/>
      <c r="AC3" s="107"/>
    </row>
    <row r="4" spans="1:29" x14ac:dyDescent="0.25">
      <c r="A4" s="25" t="s">
        <v>36</v>
      </c>
      <c r="B4" s="25"/>
      <c r="C4" s="25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AA4" s="107"/>
      <c r="AB4" s="107"/>
      <c r="AC4" s="107"/>
    </row>
    <row r="5" spans="1:29" s="1" customFormat="1" x14ac:dyDescent="0.25">
      <c r="A5" s="25"/>
      <c r="B5" s="25"/>
      <c r="C5" s="25"/>
      <c r="AA5" s="107"/>
      <c r="AB5" s="107"/>
      <c r="AC5" s="107"/>
    </row>
    <row r="6" spans="1:29" s="1" customFormat="1" ht="15.75" thickBot="1" x14ac:dyDescent="0.3">
      <c r="A6" s="25"/>
      <c r="B6" s="25"/>
      <c r="C6" s="25"/>
      <c r="AA6" s="108"/>
      <c r="AB6" s="108"/>
      <c r="AC6" s="108"/>
    </row>
    <row r="7" spans="1:29" ht="15" customHeight="1" thickBot="1" x14ac:dyDescent="0.3">
      <c r="A7" s="96" t="s">
        <v>0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8"/>
      <c r="AA7" s="109" t="s">
        <v>13</v>
      </c>
      <c r="AB7" s="109"/>
      <c r="AC7" s="109"/>
    </row>
    <row r="8" spans="1:29" s="26" customFormat="1" x14ac:dyDescent="0.25">
      <c r="A8" s="94" t="s">
        <v>10</v>
      </c>
      <c r="B8" s="99" t="s">
        <v>1</v>
      </c>
      <c r="C8" s="38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1"/>
      <c r="AA8" s="62" t="s">
        <v>11</v>
      </c>
      <c r="AB8" s="63">
        <v>6200000</v>
      </c>
      <c r="AC8" s="81">
        <f>AB8/AB11</f>
        <v>0.67934303084698822</v>
      </c>
    </row>
    <row r="9" spans="1:29" s="26" customFormat="1" ht="15" customHeight="1" x14ac:dyDescent="0.25">
      <c r="A9" s="95"/>
      <c r="B9" s="100"/>
      <c r="C9" s="40"/>
      <c r="D9" s="92" t="s">
        <v>23</v>
      </c>
      <c r="E9" s="93"/>
      <c r="F9" s="92" t="s">
        <v>24</v>
      </c>
      <c r="G9" s="93"/>
      <c r="H9" s="103" t="s">
        <v>14</v>
      </c>
      <c r="I9" s="104"/>
      <c r="J9" s="93" t="s">
        <v>15</v>
      </c>
      <c r="K9" s="93"/>
      <c r="L9" s="93" t="s">
        <v>16</v>
      </c>
      <c r="M9" s="93"/>
      <c r="N9" s="93" t="s">
        <v>20</v>
      </c>
      <c r="O9" s="93"/>
      <c r="P9" s="93" t="s">
        <v>25</v>
      </c>
      <c r="Q9" s="93"/>
      <c r="R9" s="93" t="s">
        <v>26</v>
      </c>
      <c r="S9" s="93"/>
      <c r="T9" s="93" t="s">
        <v>27</v>
      </c>
      <c r="U9" s="93"/>
      <c r="V9" s="93" t="s">
        <v>28</v>
      </c>
      <c r="W9" s="93"/>
      <c r="X9" s="101" t="s">
        <v>3</v>
      </c>
      <c r="Y9" s="102"/>
      <c r="AA9" s="62" t="s">
        <v>12</v>
      </c>
      <c r="AB9" s="65">
        <v>2926464.42</v>
      </c>
      <c r="AC9" s="81">
        <f>AB9/AB11</f>
        <v>0.32065696915301184</v>
      </c>
    </row>
    <row r="10" spans="1:29" s="1" customFormat="1" x14ac:dyDescent="0.25">
      <c r="A10" s="32"/>
      <c r="B10" s="40"/>
      <c r="C10" s="40" t="s">
        <v>9</v>
      </c>
      <c r="D10" s="37" t="s">
        <v>7</v>
      </c>
      <c r="E10" s="27" t="s">
        <v>8</v>
      </c>
      <c r="F10" s="60" t="s">
        <v>7</v>
      </c>
      <c r="G10" s="27" t="s">
        <v>8</v>
      </c>
      <c r="H10" s="73" t="s">
        <v>7</v>
      </c>
      <c r="I10" s="74" t="s">
        <v>8</v>
      </c>
      <c r="J10" s="73" t="s">
        <v>7</v>
      </c>
      <c r="K10" s="74" t="s">
        <v>8</v>
      </c>
      <c r="L10" s="73" t="s">
        <v>7</v>
      </c>
      <c r="M10" s="74" t="s">
        <v>8</v>
      </c>
      <c r="N10" s="76" t="s">
        <v>7</v>
      </c>
      <c r="O10" s="77" t="s">
        <v>8</v>
      </c>
      <c r="P10" s="76" t="s">
        <v>7</v>
      </c>
      <c r="Q10" s="77" t="s">
        <v>8</v>
      </c>
      <c r="R10" s="76" t="s">
        <v>7</v>
      </c>
      <c r="S10" s="77" t="s">
        <v>8</v>
      </c>
      <c r="T10" s="76" t="s">
        <v>7</v>
      </c>
      <c r="U10" s="77" t="s">
        <v>8</v>
      </c>
      <c r="V10" s="76" t="s">
        <v>7</v>
      </c>
      <c r="W10" s="77" t="s">
        <v>8</v>
      </c>
      <c r="X10" s="37" t="s">
        <v>7</v>
      </c>
      <c r="Y10" s="28" t="s">
        <v>8</v>
      </c>
      <c r="AA10" s="62"/>
      <c r="AB10" s="65"/>
      <c r="AC10" s="81"/>
    </row>
    <row r="11" spans="1:29" x14ac:dyDescent="0.25">
      <c r="A11" s="83">
        <v>1</v>
      </c>
      <c r="B11" s="84" t="s">
        <v>17</v>
      </c>
      <c r="C11" s="85">
        <v>0</v>
      </c>
      <c r="D11" s="86">
        <v>1</v>
      </c>
      <c r="E11" s="57">
        <v>0</v>
      </c>
      <c r="F11" s="86">
        <v>0</v>
      </c>
      <c r="G11" s="57">
        <f>TRUNC(ROUND($C11*F11,2),2)</f>
        <v>0</v>
      </c>
      <c r="H11" s="86">
        <v>0.5</v>
      </c>
      <c r="I11" s="57">
        <f t="shared" ref="I11:I17" si="0">TRUNC(ROUND($C11*H11,2),2)</f>
        <v>0</v>
      </c>
      <c r="J11" s="86">
        <v>0.5</v>
      </c>
      <c r="K11" s="57">
        <f t="shared" ref="K11:K17" si="1">TRUNC(ROUND($C11*J11,2),2)</f>
        <v>0</v>
      </c>
      <c r="L11" s="86">
        <v>0</v>
      </c>
      <c r="M11" s="57">
        <f t="shared" ref="M11:M17" si="2">TRUNC(ROUND($C11*L11,2),2)</f>
        <v>0</v>
      </c>
      <c r="N11" s="86">
        <v>0</v>
      </c>
      <c r="O11" s="57">
        <f t="shared" ref="O11:O17" si="3">TRUNC(ROUND($C11*N11,2),2)</f>
        <v>0</v>
      </c>
      <c r="P11" s="86">
        <v>0</v>
      </c>
      <c r="Q11" s="57">
        <f t="shared" ref="Q11" si="4">TRUNC(ROUND($C11*P11,2),2)</f>
        <v>0</v>
      </c>
      <c r="R11" s="86">
        <v>0</v>
      </c>
      <c r="S11" s="57">
        <f t="shared" ref="S11" si="5">TRUNC(ROUND($C11*R11,2),2)</f>
        <v>0</v>
      </c>
      <c r="T11" s="86">
        <v>0</v>
      </c>
      <c r="U11" s="57">
        <f t="shared" ref="U11:U17" si="6">$C11*T11</f>
        <v>0</v>
      </c>
      <c r="V11" s="86">
        <v>0</v>
      </c>
      <c r="W11" s="57">
        <f t="shared" ref="W11:W17" si="7">$C11*V11</f>
        <v>0</v>
      </c>
      <c r="X11" s="87">
        <v>1</v>
      </c>
      <c r="Y11" s="88">
        <f>SUM(E11,G11,I11,K11,M11,O11,Q11,S11,U11,W11)</f>
        <v>0</v>
      </c>
      <c r="Z11" s="3"/>
      <c r="AA11" s="62" t="s">
        <v>5</v>
      </c>
      <c r="AB11" s="67">
        <f>SUM(AB8:AB9)</f>
        <v>9126464.4199999999</v>
      </c>
      <c r="AC11" s="80">
        <f>AC9+AC8</f>
        <v>1</v>
      </c>
    </row>
    <row r="12" spans="1:29" s="1" customFormat="1" x14ac:dyDescent="0.25">
      <c r="A12" s="83">
        <v>2</v>
      </c>
      <c r="B12" s="84" t="s">
        <v>29</v>
      </c>
      <c r="C12" s="85">
        <v>259916.79999999999</v>
      </c>
      <c r="D12" s="86">
        <f>TRUNC(ROUND((E12/C12),4),4)</f>
        <v>0</v>
      </c>
      <c r="E12" s="57">
        <v>0</v>
      </c>
      <c r="F12" s="86">
        <v>0</v>
      </c>
      <c r="G12" s="57">
        <f t="shared" ref="G12:G14" si="8">TRUNC(ROUND($C12*F12,2),2)</f>
        <v>0</v>
      </c>
      <c r="H12" s="86">
        <v>0</v>
      </c>
      <c r="I12" s="57">
        <f t="shared" si="0"/>
        <v>0</v>
      </c>
      <c r="J12" s="86">
        <v>0</v>
      </c>
      <c r="K12" s="57">
        <f t="shared" si="1"/>
        <v>0</v>
      </c>
      <c r="L12" s="86">
        <v>0.3</v>
      </c>
      <c r="M12" s="57">
        <f>$C12*L12</f>
        <v>77975.039999999994</v>
      </c>
      <c r="N12" s="86">
        <v>0.4</v>
      </c>
      <c r="O12" s="57">
        <f t="shared" ref="O12:O16" si="9">$C12*N12</f>
        <v>103966.72</v>
      </c>
      <c r="P12" s="86">
        <v>0.3</v>
      </c>
      <c r="Q12" s="57">
        <f t="shared" ref="Q12:Q17" si="10">$C12*P12</f>
        <v>77975.039999999994</v>
      </c>
      <c r="R12" s="86">
        <v>0</v>
      </c>
      <c r="S12" s="57">
        <f t="shared" ref="S12:S17" si="11">$C12*R12</f>
        <v>0</v>
      </c>
      <c r="T12" s="86">
        <v>0</v>
      </c>
      <c r="U12" s="57">
        <f t="shared" si="6"/>
        <v>0</v>
      </c>
      <c r="V12" s="86">
        <v>0</v>
      </c>
      <c r="W12" s="57">
        <f t="shared" si="7"/>
        <v>0</v>
      </c>
      <c r="X12" s="87">
        <f t="shared" ref="X12:X17" si="12">SUM(D12,F12,H12,J12,L12,N12,P12,R12,T12,V12)</f>
        <v>1</v>
      </c>
      <c r="Y12" s="88">
        <f>SUM(E12,G12,I12,K12,M12,O12,Q12,S12,U12,W12)</f>
        <v>259916.79999999999</v>
      </c>
      <c r="Z12" s="3"/>
      <c r="AA12" s="109" t="s">
        <v>21</v>
      </c>
      <c r="AB12" s="109"/>
      <c r="AC12" s="109"/>
    </row>
    <row r="13" spans="1:29" s="1" customFormat="1" x14ac:dyDescent="0.25">
      <c r="A13" s="83">
        <v>3</v>
      </c>
      <c r="B13" s="84" t="s">
        <v>30</v>
      </c>
      <c r="C13" s="85">
        <v>5484377.5800000001</v>
      </c>
      <c r="D13" s="86">
        <f t="shared" ref="D13:D14" si="13">TRUNC(ROUND((E13/C13),4),4)</f>
        <v>0</v>
      </c>
      <c r="E13" s="57">
        <v>0</v>
      </c>
      <c r="F13" s="86">
        <v>0</v>
      </c>
      <c r="G13" s="57">
        <f t="shared" si="8"/>
        <v>0</v>
      </c>
      <c r="H13" s="86">
        <v>0</v>
      </c>
      <c r="I13" s="57">
        <f t="shared" si="0"/>
        <v>0</v>
      </c>
      <c r="J13" s="86">
        <v>0</v>
      </c>
      <c r="K13" s="57">
        <f t="shared" si="1"/>
        <v>0</v>
      </c>
      <c r="L13" s="86">
        <v>0.1</v>
      </c>
      <c r="M13" s="57">
        <f>$C13*L13</f>
        <v>548437.75800000003</v>
      </c>
      <c r="N13" s="86">
        <v>0.15</v>
      </c>
      <c r="O13" s="57">
        <f t="shared" si="9"/>
        <v>822656.63699999999</v>
      </c>
      <c r="P13" s="86">
        <v>0.25</v>
      </c>
      <c r="Q13" s="57">
        <f t="shared" si="10"/>
        <v>1371094.395</v>
      </c>
      <c r="R13" s="86">
        <v>0.25</v>
      </c>
      <c r="S13" s="57">
        <f t="shared" si="11"/>
        <v>1371094.395</v>
      </c>
      <c r="T13" s="86">
        <v>0.15</v>
      </c>
      <c r="U13" s="57">
        <f t="shared" si="6"/>
        <v>822656.63699999999</v>
      </c>
      <c r="V13" s="86">
        <v>0.1</v>
      </c>
      <c r="W13" s="57">
        <f t="shared" si="7"/>
        <v>548437.75800000003</v>
      </c>
      <c r="X13" s="87">
        <f t="shared" si="12"/>
        <v>1</v>
      </c>
      <c r="Y13" s="88">
        <f>SUM(E13,G13,I13,K13,M13,O13,Q13,S13,U13,W13)</f>
        <v>5484377.5800000001</v>
      </c>
      <c r="Z13" s="3"/>
      <c r="AA13" s="62" t="s">
        <v>11</v>
      </c>
      <c r="AB13" s="63" t="s">
        <v>22</v>
      </c>
      <c r="AC13" s="64" t="e">
        <f>ROUND(AB13/AB16,4)</f>
        <v>#VALUE!</v>
      </c>
    </row>
    <row r="14" spans="1:29" s="1" customFormat="1" x14ac:dyDescent="0.25">
      <c r="A14" s="83">
        <v>4</v>
      </c>
      <c r="B14" s="84" t="s">
        <v>31</v>
      </c>
      <c r="C14" s="85">
        <v>3009476.41</v>
      </c>
      <c r="D14" s="86">
        <f t="shared" si="13"/>
        <v>0</v>
      </c>
      <c r="E14" s="57">
        <v>0</v>
      </c>
      <c r="F14" s="86">
        <v>0</v>
      </c>
      <c r="G14" s="57">
        <f t="shared" si="8"/>
        <v>0</v>
      </c>
      <c r="H14" s="86">
        <v>0</v>
      </c>
      <c r="I14" s="57">
        <f t="shared" si="0"/>
        <v>0</v>
      </c>
      <c r="J14" s="86">
        <v>0</v>
      </c>
      <c r="K14" s="57">
        <f t="shared" si="1"/>
        <v>0</v>
      </c>
      <c r="L14" s="86">
        <v>0.1</v>
      </c>
      <c r="M14" s="57">
        <f>$C14*L14</f>
        <v>300947.641</v>
      </c>
      <c r="N14" s="86">
        <v>0.15</v>
      </c>
      <c r="O14" s="57">
        <f t="shared" si="9"/>
        <v>451421.46150000003</v>
      </c>
      <c r="P14" s="86">
        <v>0.25</v>
      </c>
      <c r="Q14" s="57">
        <f t="shared" si="10"/>
        <v>752369.10250000004</v>
      </c>
      <c r="R14" s="86">
        <v>0.25</v>
      </c>
      <c r="S14" s="57">
        <f t="shared" si="11"/>
        <v>752369.10250000004</v>
      </c>
      <c r="T14" s="86">
        <v>0.15</v>
      </c>
      <c r="U14" s="57">
        <f t="shared" si="6"/>
        <v>451421.46150000003</v>
      </c>
      <c r="V14" s="86">
        <v>0.1</v>
      </c>
      <c r="W14" s="57">
        <f t="shared" si="7"/>
        <v>300947.641</v>
      </c>
      <c r="X14" s="87">
        <f t="shared" si="12"/>
        <v>1</v>
      </c>
      <c r="Y14" s="88">
        <f>SUM(E14,G14,I14,K14,M14,O14,Q14,S14,U14,W14,)</f>
        <v>3009476.41</v>
      </c>
      <c r="Z14" s="3"/>
      <c r="AA14" s="62" t="s">
        <v>12</v>
      </c>
      <c r="AB14" s="65" t="s">
        <v>22</v>
      </c>
      <c r="AC14" s="64" t="e">
        <f>ROUND(AB14/AB16,4)</f>
        <v>#VALUE!</v>
      </c>
    </row>
    <row r="15" spans="1:29" x14ac:dyDescent="0.25">
      <c r="A15" s="83">
        <v>5</v>
      </c>
      <c r="B15" s="84" t="s">
        <v>32</v>
      </c>
      <c r="C15" s="85">
        <v>64925.4</v>
      </c>
      <c r="D15" s="86">
        <f>TRUNC(ROUND((E15/C15),4),4)</f>
        <v>0</v>
      </c>
      <c r="E15" s="57">
        <v>0</v>
      </c>
      <c r="F15" s="86">
        <v>0</v>
      </c>
      <c r="G15" s="57">
        <f t="shared" ref="G15:G17" si="14">TRUNC(ROUND($C15*F15,2),2)</f>
        <v>0</v>
      </c>
      <c r="H15" s="86">
        <v>0</v>
      </c>
      <c r="I15" s="57">
        <f t="shared" si="0"/>
        <v>0</v>
      </c>
      <c r="J15" s="86">
        <v>0</v>
      </c>
      <c r="K15" s="57">
        <f t="shared" si="1"/>
        <v>0</v>
      </c>
      <c r="L15" s="86">
        <v>0.33</v>
      </c>
      <c r="M15" s="57">
        <f>$C15*L15</f>
        <v>21425.382000000001</v>
      </c>
      <c r="N15" s="86">
        <v>0.34</v>
      </c>
      <c r="O15" s="57">
        <f t="shared" si="9"/>
        <v>22074.636000000002</v>
      </c>
      <c r="P15" s="86">
        <v>0.33</v>
      </c>
      <c r="Q15" s="57">
        <f t="shared" si="10"/>
        <v>21425.382000000001</v>
      </c>
      <c r="R15" s="86">
        <v>0</v>
      </c>
      <c r="S15" s="57">
        <f t="shared" si="11"/>
        <v>0</v>
      </c>
      <c r="T15" s="86">
        <v>0</v>
      </c>
      <c r="U15" s="57">
        <f t="shared" si="6"/>
        <v>0</v>
      </c>
      <c r="V15" s="86">
        <v>0</v>
      </c>
      <c r="W15" s="57">
        <f t="shared" si="7"/>
        <v>0</v>
      </c>
      <c r="X15" s="87">
        <f t="shared" si="12"/>
        <v>1</v>
      </c>
      <c r="Y15" s="88">
        <f>SUM(E15,G15,I15,K15,M15,O15,Q15,S15,U15,W15,)</f>
        <v>64925.400000000009</v>
      </c>
      <c r="Z15" s="3"/>
      <c r="AA15" s="62"/>
      <c r="AB15" s="65"/>
      <c r="AC15" s="66"/>
    </row>
    <row r="16" spans="1:29" s="1" customFormat="1" x14ac:dyDescent="0.25">
      <c r="A16" s="83">
        <v>6</v>
      </c>
      <c r="B16" s="84" t="s">
        <v>33</v>
      </c>
      <c r="C16" s="85">
        <v>191532</v>
      </c>
      <c r="D16" s="86">
        <f t="shared" ref="D16:D17" si="15">TRUNC(ROUND((E16/C16),4),4)</f>
        <v>0</v>
      </c>
      <c r="E16" s="57">
        <v>0</v>
      </c>
      <c r="F16" s="86">
        <v>0</v>
      </c>
      <c r="G16" s="57">
        <f t="shared" si="14"/>
        <v>0</v>
      </c>
      <c r="H16" s="86">
        <v>0</v>
      </c>
      <c r="I16" s="57">
        <f t="shared" si="0"/>
        <v>0</v>
      </c>
      <c r="J16" s="86">
        <v>0</v>
      </c>
      <c r="K16" s="57">
        <f t="shared" si="1"/>
        <v>0</v>
      </c>
      <c r="L16" s="86">
        <v>0</v>
      </c>
      <c r="M16" s="57">
        <f t="shared" si="2"/>
        <v>0</v>
      </c>
      <c r="N16" s="86">
        <v>0</v>
      </c>
      <c r="O16" s="57">
        <f t="shared" si="9"/>
        <v>0</v>
      </c>
      <c r="P16" s="86">
        <v>0</v>
      </c>
      <c r="Q16" s="57">
        <f t="shared" si="10"/>
        <v>0</v>
      </c>
      <c r="R16" s="86">
        <v>0</v>
      </c>
      <c r="S16" s="57">
        <f t="shared" si="11"/>
        <v>0</v>
      </c>
      <c r="T16" s="86">
        <v>0.5</v>
      </c>
      <c r="U16" s="57">
        <f t="shared" si="6"/>
        <v>95766</v>
      </c>
      <c r="V16" s="86">
        <v>0.5</v>
      </c>
      <c r="W16" s="57">
        <f t="shared" si="7"/>
        <v>95766</v>
      </c>
      <c r="X16" s="87">
        <f t="shared" si="12"/>
        <v>1</v>
      </c>
      <c r="Y16" s="88">
        <f>SUM(E16,G16,I16,K16,M16,O16,Q16,S16,U16,W16,)</f>
        <v>191532</v>
      </c>
      <c r="Z16" s="3"/>
      <c r="AA16" s="62" t="s">
        <v>5</v>
      </c>
      <c r="AB16" s="67">
        <f>SUM(AB13:AB14)</f>
        <v>0</v>
      </c>
      <c r="AC16" s="68" t="e">
        <f>AC14+AC13</f>
        <v>#VALUE!</v>
      </c>
    </row>
    <row r="17" spans="1:29" s="1" customFormat="1" x14ac:dyDescent="0.25">
      <c r="A17" s="83">
        <v>7</v>
      </c>
      <c r="B17" s="84" t="s">
        <v>34</v>
      </c>
      <c r="C17" s="85">
        <v>116236.23</v>
      </c>
      <c r="D17" s="86">
        <f t="shared" si="15"/>
        <v>0</v>
      </c>
      <c r="E17" s="57">
        <v>0</v>
      </c>
      <c r="F17" s="86">
        <v>0</v>
      </c>
      <c r="G17" s="57">
        <f t="shared" si="14"/>
        <v>0</v>
      </c>
      <c r="H17" s="86">
        <v>0</v>
      </c>
      <c r="I17" s="57">
        <f t="shared" si="0"/>
        <v>0</v>
      </c>
      <c r="J17" s="86">
        <v>0</v>
      </c>
      <c r="K17" s="57">
        <f t="shared" si="1"/>
        <v>0</v>
      </c>
      <c r="L17" s="86">
        <v>0</v>
      </c>
      <c r="M17" s="57">
        <f t="shared" si="2"/>
        <v>0</v>
      </c>
      <c r="N17" s="86">
        <v>0</v>
      </c>
      <c r="O17" s="57">
        <f t="shared" si="3"/>
        <v>0</v>
      </c>
      <c r="P17" s="86">
        <v>0</v>
      </c>
      <c r="Q17" s="57">
        <f t="shared" si="10"/>
        <v>0</v>
      </c>
      <c r="R17" s="86">
        <v>0</v>
      </c>
      <c r="S17" s="57">
        <f t="shared" si="11"/>
        <v>0</v>
      </c>
      <c r="T17" s="86">
        <v>0.5</v>
      </c>
      <c r="U17" s="57">
        <f t="shared" si="6"/>
        <v>58118.114999999998</v>
      </c>
      <c r="V17" s="86">
        <v>0.5</v>
      </c>
      <c r="W17" s="57">
        <f t="shared" si="7"/>
        <v>58118.114999999998</v>
      </c>
      <c r="X17" s="87">
        <f t="shared" si="12"/>
        <v>1</v>
      </c>
      <c r="Y17" s="88">
        <f>SUM(E17,G17,I17,K17,M17,O17,Q17,S17,U17,W17,)</f>
        <v>116236.23</v>
      </c>
      <c r="Z17" s="3"/>
    </row>
    <row r="18" spans="1:29" s="1" customFormat="1" x14ac:dyDescent="0.25">
      <c r="A18" s="112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4"/>
    </row>
    <row r="19" spans="1:29" ht="15.75" thickBot="1" x14ac:dyDescent="0.3">
      <c r="A19" s="41"/>
      <c r="B19" s="42"/>
      <c r="C19" s="43">
        <f>SUM(C11:C17)</f>
        <v>9126464.4199999999</v>
      </c>
      <c r="D19" s="44">
        <f>TRUNC(ROUND(E19/$C$19,4),4)</f>
        <v>0</v>
      </c>
      <c r="E19" s="43">
        <f>SUM(E11:E17)</f>
        <v>0</v>
      </c>
      <c r="F19" s="44">
        <f>TRUNC(ROUND(G19/$C$19,4),4)</f>
        <v>0</v>
      </c>
      <c r="G19" s="43">
        <f>SUM(G11:G17)</f>
        <v>0</v>
      </c>
      <c r="H19" s="44">
        <f t="shared" ref="H19" si="16">TRUNC(ROUND(I19/$C$19,4),4)</f>
        <v>0</v>
      </c>
      <c r="I19" s="43">
        <f>SUM(I11:I17)</f>
        <v>0</v>
      </c>
      <c r="J19" s="44">
        <f t="shared" ref="J19" si="17">TRUNC(ROUND(K19/$C$19,4),4)</f>
        <v>0</v>
      </c>
      <c r="K19" s="43">
        <f>SUM(K11:K17)</f>
        <v>0</v>
      </c>
      <c r="L19" s="44">
        <f>M19/$C$19</f>
        <v>0.10395984439722387</v>
      </c>
      <c r="M19" s="43">
        <f>SUM(M11:M17)</f>
        <v>948785.821</v>
      </c>
      <c r="N19" s="44">
        <f>O19/$C$19</f>
        <v>0.15341312802707446</v>
      </c>
      <c r="O19" s="43">
        <f>SUM(O11:O17)</f>
        <v>1400119.4545</v>
      </c>
      <c r="P19" s="44">
        <f>Q19/$C$19</f>
        <v>0.2435624374570235</v>
      </c>
      <c r="Q19" s="43">
        <f>SUM(Q11:Q17)</f>
        <v>2222863.9195000003</v>
      </c>
      <c r="R19" s="44">
        <f>S19/$C$19</f>
        <v>0.23267098843299935</v>
      </c>
      <c r="S19" s="43">
        <f>SUM(S11:S17)</f>
        <v>2123463.4975000001</v>
      </c>
      <c r="T19" s="44">
        <f>U19/$C$19</f>
        <v>0.15646389968613936</v>
      </c>
      <c r="U19" s="43">
        <f>SUM(U11:U17)</f>
        <v>1427962.2135000001</v>
      </c>
      <c r="V19" s="44">
        <f>W19/$C$19</f>
        <v>0.10992970199953948</v>
      </c>
      <c r="W19" s="43">
        <f>SUM(W11:W17)</f>
        <v>1003269.514</v>
      </c>
      <c r="X19" s="78">
        <f>SUM(D19,F19,H19,J19,L19,N19,P19,R19,T19,V19,)</f>
        <v>1.0000000000000002</v>
      </c>
      <c r="Y19" s="45">
        <f>W19+U19+S19+Q19+O19+M19</f>
        <v>9126464.4199999999</v>
      </c>
      <c r="Z19" s="22"/>
    </row>
    <row r="20" spans="1:29" x14ac:dyDescent="0.25">
      <c r="A20" s="46"/>
      <c r="B20" s="46"/>
      <c r="C20" s="30"/>
      <c r="D20" s="47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4"/>
    </row>
    <row r="21" spans="1:29" ht="15.75" thickBot="1" x14ac:dyDescent="0.3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23"/>
    </row>
    <row r="22" spans="1:29" ht="16.5" thickBot="1" x14ac:dyDescent="0.3">
      <c r="A22" s="96" t="s">
        <v>4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8"/>
      <c r="AC22" s="5"/>
    </row>
    <row r="23" spans="1:29" x14ac:dyDescent="0.25">
      <c r="A23" s="115" t="s">
        <v>10</v>
      </c>
      <c r="B23" s="99" t="s">
        <v>2</v>
      </c>
      <c r="C23" s="39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8"/>
      <c r="Y23" s="119"/>
    </row>
    <row r="24" spans="1:29" ht="15" customHeight="1" x14ac:dyDescent="0.25">
      <c r="A24" s="116"/>
      <c r="B24" s="100"/>
      <c r="C24" s="31"/>
      <c r="D24" s="92" t="str">
        <f>D9</f>
        <v>Realizado até xx/xx/xxxxx</v>
      </c>
      <c r="E24" s="93"/>
      <c r="F24" s="123" t="str">
        <f>F9</f>
        <v>xx/xx/xxxx - xx/xx/xxxx</v>
      </c>
      <c r="G24" s="124"/>
      <c r="H24" s="120" t="str">
        <f>H9</f>
        <v>30 Dias</v>
      </c>
      <c r="I24" s="121"/>
      <c r="J24" s="120" t="str">
        <f>J9</f>
        <v>60 Dias</v>
      </c>
      <c r="K24" s="121"/>
      <c r="L24" s="120" t="str">
        <f t="shared" ref="L24" si="18">L9</f>
        <v>90 Dias</v>
      </c>
      <c r="M24" s="121"/>
      <c r="N24" s="120" t="str">
        <f t="shared" ref="N24" si="19">N9</f>
        <v>120 Dias</v>
      </c>
      <c r="O24" s="121"/>
      <c r="P24" s="120" t="str">
        <f t="shared" ref="P24" si="20">P9</f>
        <v>150 Dias</v>
      </c>
      <c r="Q24" s="121"/>
      <c r="R24" s="120" t="str">
        <f t="shared" ref="R24" si="21">R9</f>
        <v>180 Dias</v>
      </c>
      <c r="S24" s="121"/>
      <c r="T24" s="120" t="str">
        <f t="shared" ref="T24" si="22">T9</f>
        <v>210 Dias</v>
      </c>
      <c r="U24" s="121"/>
      <c r="V24" s="120" t="str">
        <f t="shared" ref="V24" si="23">V9</f>
        <v>240 Dias</v>
      </c>
      <c r="W24" s="121"/>
      <c r="X24" s="101" t="s">
        <v>3</v>
      </c>
      <c r="Y24" s="102"/>
    </row>
    <row r="25" spans="1:29" x14ac:dyDescent="0.25">
      <c r="A25" s="48">
        <v>1</v>
      </c>
      <c r="B25" s="49" t="s">
        <v>11</v>
      </c>
      <c r="C25" s="50"/>
      <c r="D25" s="51"/>
      <c r="E25" s="52">
        <v>0</v>
      </c>
      <c r="F25" s="51"/>
      <c r="G25" s="58">
        <f>TRUNC(ROUND(G19*$AC$8,2),2)</f>
        <v>0</v>
      </c>
      <c r="H25" s="51"/>
      <c r="I25" s="58">
        <f>TRUNC(ROUND(I19*$AC$8,2),2)</f>
        <v>0</v>
      </c>
      <c r="J25" s="51"/>
      <c r="K25" s="58">
        <f>TRUNC(ROUND(K19*$AC$8,2),2)</f>
        <v>0</v>
      </c>
      <c r="L25" s="51"/>
      <c r="M25" s="58">
        <f>M19*$AC$8</f>
        <v>644551.03526278806</v>
      </c>
      <c r="N25" s="51"/>
      <c r="O25" s="58">
        <f>O19*$AC$8</f>
        <v>951161.39376786177</v>
      </c>
      <c r="P25" s="51"/>
      <c r="Q25" s="58">
        <f>Q19*$AC$8</f>
        <v>1510087.1122335459</v>
      </c>
      <c r="R25" s="51"/>
      <c r="S25" s="58">
        <f>S19*$AC$8</f>
        <v>1442560.1282845959</v>
      </c>
      <c r="T25" s="51"/>
      <c r="U25" s="58">
        <f>U19*$AC$8</f>
        <v>970076.17805406416</v>
      </c>
      <c r="V25" s="51"/>
      <c r="W25" s="58">
        <f>W19*$AC$8</f>
        <v>681564.15239714482</v>
      </c>
      <c r="X25" s="51"/>
      <c r="Y25" s="29">
        <f>M25+O25+Q25+S25+U25+W25</f>
        <v>6200000.0000000009</v>
      </c>
      <c r="Z25" s="22"/>
      <c r="AB25" s="20"/>
    </row>
    <row r="26" spans="1:29" x14ac:dyDescent="0.25">
      <c r="A26" s="48">
        <v>2</v>
      </c>
      <c r="B26" s="49" t="s">
        <v>12</v>
      </c>
      <c r="C26" s="50"/>
      <c r="D26" s="51"/>
      <c r="E26" s="52">
        <v>0</v>
      </c>
      <c r="F26" s="51"/>
      <c r="G26" s="58">
        <f>TRUNC(ROUND(G19*$AC$9,2),2)</f>
        <v>0</v>
      </c>
      <c r="H26" s="51"/>
      <c r="I26" s="58">
        <f>TRUNC(ROUND(I19*$AC$9,2),2)</f>
        <v>0</v>
      </c>
      <c r="J26" s="51"/>
      <c r="K26" s="58">
        <f>TRUNC(ROUND(K19*$AC$9,2),2)</f>
        <v>0</v>
      </c>
      <c r="L26" s="51"/>
      <c r="M26" s="58">
        <f>M19*$AC$9-0.01</f>
        <v>304234.77573721198</v>
      </c>
      <c r="N26" s="51"/>
      <c r="O26" s="58">
        <f>O19*$AC$9</f>
        <v>448958.06073213828</v>
      </c>
      <c r="P26" s="51"/>
      <c r="Q26" s="58">
        <f>(Q19*$AC$9)</f>
        <v>712776.80726645456</v>
      </c>
      <c r="R26" s="51"/>
      <c r="S26" s="58">
        <f>S19*$AC$9</f>
        <v>680903.36921540415</v>
      </c>
      <c r="T26" s="51"/>
      <c r="U26" s="58">
        <f>U19*$AC$9</f>
        <v>457886.03544593602</v>
      </c>
      <c r="V26" s="51"/>
      <c r="W26" s="58">
        <f>W19*$AC$9</f>
        <v>321705.36160285515</v>
      </c>
      <c r="X26" s="51"/>
      <c r="Y26" s="29">
        <f>SUM(E26,G26,I26,K26,M26,O26,Q26,S26,U26,W26)+0.01</f>
        <v>2926464.42</v>
      </c>
      <c r="Z26" s="22"/>
      <c r="AB26" s="20"/>
    </row>
    <row r="27" spans="1:29" ht="15.75" thickBot="1" x14ac:dyDescent="0.3">
      <c r="A27" s="53">
        <v>3</v>
      </c>
      <c r="B27" s="42" t="s">
        <v>5</v>
      </c>
      <c r="C27" s="54"/>
      <c r="D27" s="55"/>
      <c r="E27" s="56">
        <f>SUM(E25:E26)</f>
        <v>0</v>
      </c>
      <c r="F27" s="55"/>
      <c r="G27" s="59">
        <f>SUM(G25:G26)</f>
        <v>0</v>
      </c>
      <c r="H27" s="55"/>
      <c r="I27" s="59">
        <f t="shared" ref="I27" si="24">SUM(I25:I26)</f>
        <v>0</v>
      </c>
      <c r="J27" s="55"/>
      <c r="K27" s="59">
        <f t="shared" ref="K27" si="25">SUM(K25:K26)</f>
        <v>0</v>
      </c>
      <c r="L27" s="55"/>
      <c r="M27" s="59">
        <f>SUM(M25:M26)+0.01</f>
        <v>948785.821</v>
      </c>
      <c r="N27" s="55"/>
      <c r="O27" s="59">
        <f t="shared" ref="O27" si="26">SUM(O25:O26)</f>
        <v>1400119.4545</v>
      </c>
      <c r="P27" s="55"/>
      <c r="Q27" s="59">
        <f>SUM(Q25:Q26)</f>
        <v>2222863.9195000003</v>
      </c>
      <c r="R27" s="55"/>
      <c r="S27" s="59">
        <f t="shared" ref="S27" si="27">SUM(S25:S26)</f>
        <v>2123463.4975000001</v>
      </c>
      <c r="T27" s="55"/>
      <c r="U27" s="59">
        <f>SUM(U25:U26)+0.01</f>
        <v>1427962.2235000001</v>
      </c>
      <c r="V27" s="55"/>
      <c r="W27" s="59">
        <f t="shared" ref="W27" si="28">SUM(W25:W26)</f>
        <v>1003269.514</v>
      </c>
      <c r="X27" s="55"/>
      <c r="Y27" s="34">
        <f>W27+U27+S27+Q27+O27+M27-0.01</f>
        <v>9126464.4199999999</v>
      </c>
      <c r="Z27" s="2"/>
      <c r="AB27" s="75"/>
    </row>
    <row r="28" spans="1:29" x14ac:dyDescent="0.25">
      <c r="B28" s="7"/>
      <c r="C28" s="8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Y28" s="11"/>
      <c r="AB28" s="20"/>
    </row>
    <row r="29" spans="1:29" x14ac:dyDescent="0.25">
      <c r="B29" s="82"/>
      <c r="C29" s="8"/>
      <c r="D29" s="20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2"/>
      <c r="Y29" s="10"/>
      <c r="AB29" s="20"/>
    </row>
    <row r="30" spans="1:29" x14ac:dyDescent="0.25">
      <c r="B30" s="82"/>
      <c r="C30" s="6"/>
      <c r="D30" s="20"/>
      <c r="E30" s="4"/>
      <c r="F30" s="4"/>
      <c r="G30" s="4"/>
      <c r="H30" s="4"/>
      <c r="I30" s="122"/>
      <c r="J30" s="122"/>
      <c r="K30" s="122"/>
      <c r="L30" s="122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2"/>
      <c r="Y30" s="2"/>
      <c r="AC30" s="35"/>
    </row>
    <row r="31" spans="1:29" x14ac:dyDescent="0.25">
      <c r="B31" s="82"/>
      <c r="C31" s="6"/>
      <c r="D31" s="71"/>
      <c r="E31" s="125" t="s">
        <v>39</v>
      </c>
      <c r="F31" s="125"/>
      <c r="G31" s="125"/>
      <c r="H31" s="125"/>
      <c r="I31" s="125"/>
      <c r="J31" s="125"/>
      <c r="K31" s="79"/>
      <c r="L31" s="79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Y31" s="89"/>
    </row>
    <row r="32" spans="1:29" x14ac:dyDescent="0.25">
      <c r="B32" s="82"/>
      <c r="C32" s="12"/>
      <c r="E32" s="126" t="s">
        <v>38</v>
      </c>
      <c r="F32" s="126"/>
      <c r="G32" s="126"/>
      <c r="H32" s="126"/>
      <c r="I32" s="126"/>
      <c r="J32" s="126"/>
      <c r="K32" s="79"/>
      <c r="L32" s="79"/>
      <c r="M32" s="72"/>
    </row>
    <row r="33" spans="2:26" x14ac:dyDescent="0.25">
      <c r="B33" s="82"/>
      <c r="C33" s="19"/>
      <c r="E33" s="72"/>
      <c r="F33" s="72"/>
      <c r="G33" s="72"/>
      <c r="H33" s="105"/>
      <c r="I33" s="105"/>
      <c r="J33" s="105"/>
      <c r="K33" s="105"/>
      <c r="L33" s="105"/>
      <c r="M33" s="105"/>
    </row>
    <row r="34" spans="2:26" x14ac:dyDescent="0.25">
      <c r="B34" s="6"/>
      <c r="C34" s="18"/>
      <c r="D34" s="20"/>
      <c r="E34" s="21"/>
      <c r="F34" s="21"/>
      <c r="G34" s="21"/>
      <c r="H34" s="105"/>
      <c r="I34" s="105"/>
      <c r="J34" s="105"/>
      <c r="K34" s="105"/>
      <c r="L34" s="105"/>
      <c r="M34" s="105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5"/>
      <c r="Y34" s="5"/>
    </row>
    <row r="35" spans="2:26" x14ac:dyDescent="0.25">
      <c r="B35" s="13"/>
      <c r="C35" s="6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Y35" s="5"/>
    </row>
    <row r="36" spans="2:26" x14ac:dyDescent="0.25">
      <c r="B36" s="6"/>
      <c r="C36" s="6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</row>
    <row r="37" spans="2:26" x14ac:dyDescent="0.25">
      <c r="B37" s="6"/>
      <c r="C37" s="6"/>
      <c r="D37" s="14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</row>
    <row r="38" spans="2:26" x14ac:dyDescent="0.25">
      <c r="D38" s="14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Y38" s="5"/>
    </row>
    <row r="39" spans="2:26" x14ac:dyDescent="0.25">
      <c r="D39" s="14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</row>
    <row r="40" spans="2:26" x14ac:dyDescent="0.25"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Z40" s="36"/>
    </row>
    <row r="41" spans="2:26" x14ac:dyDescent="0.25"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3"/>
    </row>
    <row r="42" spans="2:26" x14ac:dyDescent="0.25">
      <c r="D42" s="15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</row>
    <row r="43" spans="2:26" x14ac:dyDescent="0.25"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</row>
    <row r="44" spans="2:26" x14ac:dyDescent="0.25"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</row>
    <row r="45" spans="2:26" x14ac:dyDescent="0.25"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</row>
    <row r="46" spans="2:26" x14ac:dyDescent="0.25"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</row>
  </sheetData>
  <mergeCells count="41">
    <mergeCell ref="E31:J31"/>
    <mergeCell ref="E32:J32"/>
    <mergeCell ref="P9:Q9"/>
    <mergeCell ref="R9:S9"/>
    <mergeCell ref="T9:U9"/>
    <mergeCell ref="N24:O24"/>
    <mergeCell ref="P24:Q24"/>
    <mergeCell ref="R24:S24"/>
    <mergeCell ref="T24:U24"/>
    <mergeCell ref="H24:I24"/>
    <mergeCell ref="J24:K24"/>
    <mergeCell ref="L24:M24"/>
    <mergeCell ref="H33:M33"/>
    <mergeCell ref="H34:M34"/>
    <mergeCell ref="AA3:AC6"/>
    <mergeCell ref="AA7:AC7"/>
    <mergeCell ref="D8:Y8"/>
    <mergeCell ref="A18:Y18"/>
    <mergeCell ref="X24:Y24"/>
    <mergeCell ref="D24:E24"/>
    <mergeCell ref="A23:A24"/>
    <mergeCell ref="A22:Y22"/>
    <mergeCell ref="D23:Y23"/>
    <mergeCell ref="B23:B24"/>
    <mergeCell ref="V24:W24"/>
    <mergeCell ref="AA12:AC12"/>
    <mergeCell ref="I30:L30"/>
    <mergeCell ref="F24:G24"/>
    <mergeCell ref="A2:B2"/>
    <mergeCell ref="A1:Y1"/>
    <mergeCell ref="D9:E9"/>
    <mergeCell ref="A8:A9"/>
    <mergeCell ref="A7:Y7"/>
    <mergeCell ref="B8:B9"/>
    <mergeCell ref="X9:Y9"/>
    <mergeCell ref="F9:G9"/>
    <mergeCell ref="H9:I9"/>
    <mergeCell ref="J9:K9"/>
    <mergeCell ref="L9:M9"/>
    <mergeCell ref="V9:W9"/>
    <mergeCell ref="N9:O9"/>
  </mergeCells>
  <printOptions horizontalCentered="1"/>
  <pageMargins left="0.23622047244094491" right="0.23622047244094491" top="0.74803149606299213" bottom="0.74803149606299213" header="0.31496062992125984" footer="0.31496062992125984"/>
  <pageSetup paperSize="287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>Secretaria de Estado de Infraestrutura e Logistica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Moreira Gomes</dc:creator>
  <cp:lastModifiedBy>Plan &amp; Projetos</cp:lastModifiedBy>
  <cp:lastPrinted>2022-07-06T15:07:02Z</cp:lastPrinted>
  <dcterms:created xsi:type="dcterms:W3CDTF">2017-02-01T19:00:58Z</dcterms:created>
  <dcterms:modified xsi:type="dcterms:W3CDTF">2022-07-06T15:08:26Z</dcterms:modified>
</cp:coreProperties>
</file>